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9_ОТДЕЛЫ_СМУР\администрирование_плата\Прогнозы\2025\Мин.фин НСО\"/>
    </mc:Choice>
  </mc:AlternateContent>
  <bookViews>
    <workbookView xWindow="480" yWindow="255" windowWidth="18195" windowHeight="11640" activeTab="1"/>
  </bookViews>
  <sheets>
    <sheet name="1-Прогноз по методике" sheetId="6" r:id="rId1"/>
    <sheet name="2-Расчет с учетом факта" sheetId="5" r:id="rId2"/>
  </sheets>
  <calcPr calcId="152511"/>
</workbook>
</file>

<file path=xl/calcChain.xml><?xml version="1.0" encoding="utf-8"?>
<calcChain xmlns="http://schemas.openxmlformats.org/spreadsheetml/2006/main">
  <c r="I17" i="6" l="1"/>
  <c r="H17" i="6"/>
  <c r="F17" i="6"/>
  <c r="E17" i="6"/>
  <c r="D17" i="6"/>
  <c r="G16" i="6"/>
  <c r="J16" i="6" s="1"/>
  <c r="K16" i="6" s="1"/>
  <c r="L16" i="6" s="1"/>
  <c r="M16" i="6" s="1"/>
  <c r="J15" i="6"/>
  <c r="K15" i="6" s="1"/>
  <c r="L15" i="6" s="1"/>
  <c r="M15" i="6" s="1"/>
  <c r="J14" i="6"/>
  <c r="K14" i="6" s="1"/>
  <c r="L14" i="6" s="1"/>
  <c r="M14" i="6" s="1"/>
  <c r="J13" i="6"/>
  <c r="K13" i="6" s="1"/>
  <c r="L13" i="6" s="1"/>
  <c r="M13" i="6" s="1"/>
  <c r="G12" i="6"/>
  <c r="J12" i="6" s="1"/>
  <c r="K12" i="6" s="1"/>
  <c r="L12" i="6" s="1"/>
  <c r="M12" i="6" s="1"/>
  <c r="J11" i="6"/>
  <c r="G10" i="6"/>
  <c r="J10" i="6" s="1"/>
  <c r="K10" i="6" s="1"/>
  <c r="L10" i="6" s="1"/>
  <c r="M10" i="6" s="1"/>
  <c r="G9" i="6"/>
  <c r="J9" i="6" s="1"/>
  <c r="K9" i="6" s="1"/>
  <c r="L9" i="6" s="1"/>
  <c r="M9" i="6" s="1"/>
  <c r="G8" i="6"/>
  <c r="J8" i="6" s="1"/>
  <c r="K8" i="6" s="1"/>
  <c r="L8" i="6" s="1"/>
  <c r="M8" i="6" s="1"/>
  <c r="G7" i="6"/>
  <c r="J7" i="6" s="1"/>
  <c r="K7" i="6" s="1"/>
  <c r="L7" i="6" s="1"/>
  <c r="M7" i="6" s="1"/>
  <c r="G6" i="6"/>
  <c r="J6" i="6" s="1"/>
  <c r="K6" i="6" s="1"/>
  <c r="L6" i="6" s="1"/>
  <c r="M6" i="6" s="1"/>
  <c r="G5" i="6"/>
  <c r="J5" i="6" s="1"/>
  <c r="J17" i="6" l="1"/>
  <c r="K5" i="6"/>
  <c r="K17" i="6" l="1"/>
  <c r="L17" i="6" s="1"/>
  <c r="M17" i="6" s="1"/>
  <c r="L5" i="6"/>
  <c r="M5" i="6" s="1"/>
  <c r="E15" i="5" l="1"/>
  <c r="F15" i="5" s="1"/>
  <c r="H15" i="5" s="1"/>
  <c r="E11" i="5"/>
  <c r="E13" i="5"/>
  <c r="F11" i="5" l="1"/>
  <c r="F12" i="5"/>
  <c r="F13" i="5"/>
  <c r="H13" i="5" s="1"/>
  <c r="F14" i="5"/>
  <c r="F16" i="5"/>
  <c r="F17" i="5"/>
  <c r="F18" i="5"/>
  <c r="F19" i="5"/>
  <c r="F20" i="5"/>
  <c r="F21" i="5"/>
  <c r="D22" i="5"/>
  <c r="M22" i="5"/>
  <c r="L22" i="5"/>
  <c r="J22" i="5"/>
  <c r="H17" i="5" l="1"/>
  <c r="H11" i="5"/>
  <c r="E22" i="5"/>
  <c r="F22" i="5"/>
  <c r="H22" i="5" l="1"/>
</calcChain>
</file>

<file path=xl/sharedStrings.xml><?xml version="1.0" encoding="utf-8"?>
<sst xmlns="http://schemas.openxmlformats.org/spreadsheetml/2006/main" count="117" uniqueCount="72">
  <si>
    <t>№ п/п</t>
  </si>
  <si>
    <t>ИТОГО по коду доходов</t>
  </si>
  <si>
    <t>___________________________________________________________________________________________________________________</t>
  </si>
  <si>
    <t>(наименование главного администратора доходов областного бюджета Новосибирской области)</t>
  </si>
  <si>
    <t>Прогноз</t>
  </si>
  <si>
    <t>Прогноз поступлений администрируемых доходов в областной бюджет Новосибирской области на очередной финансовый год и плановый период</t>
  </si>
  <si>
    <t>Код доходов</t>
  </si>
  <si>
    <t>Наименование дохода</t>
  </si>
  <si>
    <t>2026 год</t>
  </si>
  <si>
    <t>2027 год</t>
  </si>
  <si>
    <t xml:space="preserve">план на 2025 год </t>
  </si>
  <si>
    <t>2028 год</t>
  </si>
  <si>
    <t>факт 8 месяцев 2025 года</t>
  </si>
  <si>
    <t>* - по нормативу 100% в консолидированный бюджет Новосибирской области</t>
  </si>
  <si>
    <t>Плата за выбросы загрязняющих веществ и атмосферный воздух стационарными объектами (пени по соответствующему платежу)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</si>
  <si>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</si>
  <si>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(пени по соответствующему платежу)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</si>
  <si>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</si>
  <si>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(пени по соответствующему платежу)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</si>
  <si>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</si>
  <si>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(пени по соответствующему платежу)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</si>
  <si>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</si>
  <si>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побочных отходов продуктов производства (пени по соответствующему платежу)</t>
  </si>
  <si>
    <t>Плата за размещение и (или) складирование побочных продуктов производства, признанных отходами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</si>
  <si>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выбросы загрязняющих веществ, образующихся при сжигании на факельных установках и (или) рассеивании попутного нефтяного газа (пени по соответствующему платежу)</t>
  </si>
  <si>
    <t>Плата за выбросы загрязняющих веществ, образующихся при сжигании на факельных установках и (или) рассеивании попутного нефтяного газа (федеральные государственные органы, Банк России, органы управления государственными внебюджетными фондами Российской Федерации)</t>
  </si>
  <si>
    <t>1 12 01010 01 2100 120</t>
  </si>
  <si>
    <t>1 12 01010 01 6000 120</t>
  </si>
  <si>
    <t>1 12 01030 01 2100 120</t>
  </si>
  <si>
    <t>1 12 01030 01 6000 120</t>
  </si>
  <si>
    <t>1 12 01041 01 2100 120</t>
  </si>
  <si>
    <t>1 12 01041 01 6000 120</t>
  </si>
  <si>
    <t>1 12 01042 01 2100 120</t>
  </si>
  <si>
    <t>1 12 01042 01 6000 120</t>
  </si>
  <si>
    <t>1 12 01043 01 2100 120</t>
  </si>
  <si>
    <t>1 12 01043 01 6000 120</t>
  </si>
  <si>
    <t>1 12 01070 01 2100 120</t>
  </si>
  <si>
    <t>1 12 01070 01 6000 120</t>
  </si>
  <si>
    <t xml:space="preserve"> </t>
  </si>
  <si>
    <t>Факт. авансовые платежи за 2025 год (1-2 кв)</t>
  </si>
  <si>
    <t>Ожидаемые авансовые платежи за 2025 год (3 кв)</t>
  </si>
  <si>
    <t>план на 2025 год отражен с учетом фактического поступления нав 22.09.2025</t>
  </si>
  <si>
    <t>план на 2025 год отражен с учетом фактического поступления на  22.09.2025</t>
  </si>
  <si>
    <t>САХ должен в 2025 внести</t>
  </si>
  <si>
    <t>Примечание</t>
  </si>
  <si>
    <t>Предприятия заплатили пени за 2021-2023 годы из которых АО Кудряшовское за  2022-2023 - 3201266,13 руб</t>
  </si>
  <si>
    <t>В 2025 году АО Кудряшовское представили уточненную ДПНВОС за 2022,2023 год с увеличением платы на  8,0 млн руб, которые были оплачены в 2025 году</t>
  </si>
  <si>
    <t>Предприятия заплатили пени за 2021-2023 годы</t>
  </si>
  <si>
    <t>Предприятия заплатили в 2025 году пени за 2021-2023 годы</t>
  </si>
  <si>
    <t>тыс. руб.</t>
  </si>
  <si>
    <t>КБК</t>
  </si>
  <si>
    <t>Наименование КБК</t>
  </si>
  <si>
    <t>Формула</t>
  </si>
  <si>
    <t>Детализированный расчет</t>
  </si>
  <si>
    <t>Прогноз на 2025 год, тыс. руб.</t>
  </si>
  <si>
    <t>Прогноз на 2026 год, тыс. руб.</t>
  </si>
  <si>
    <t>Прогноз на 2027 год, тыс. руб.</t>
  </si>
  <si>
    <t>Прогноз на 2028 год, тыс. руб.</t>
  </si>
  <si>
    <t>Плата за негативное воздействие на окружающую среду</t>
  </si>
  <si>
    <t>Vп – объем поступлений, тыс.руб</t>
  </si>
  <si>
    <t>T – темп изменений объема поступлений доходов в прошлых периодах, тыс.руб.</t>
  </si>
  <si>
    <t xml:space="preserve">а – сумма корректировки, рассчитывается при отклонении прогноза от фактического исполнения, тыс. руб.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</si>
  <si>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b – ожидаемые поступления от возврата дебиторской задолженности, тыс. руб.</t>
  </si>
  <si>
    <t>П - прогноз поступлений от платы за негативное воздействие на окружающую среду, тыс. руб.</t>
  </si>
  <si>
    <t>(Vn-3) 2022 год</t>
  </si>
  <si>
    <t>(Vn-2) 2023 год</t>
  </si>
  <si>
    <t>(Vn-1) 2024 год</t>
  </si>
  <si>
    <t xml:space="preserve">П = Vп-1 × T +/- b +/- a </t>
  </si>
  <si>
    <t xml:space="preserve">П = Vп-1 × T +/- b +/- a   </t>
  </si>
  <si>
    <t>ИТОГО:</t>
  </si>
  <si>
    <t>Прогноз, расчитанный по методике и направленный в ЦА РПН</t>
  </si>
  <si>
    <t xml:space="preserve">С учетом начисленной пени за 2024 год в размере 4,5 млн.руб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</si>
</sst>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5">
    <xf numFmtId="0" fontId="0" fillId="0" borderId="0"/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2" borderId="1" applyNumberFormat="0">
      <alignment horizontal="right" vertical="top"/>
    </xf>
    <xf numFmtId="49" fontId="4" fillId="3" borderId="1">
      <alignment horizontal="left" vertical="top"/>
    </xf>
    <xf numFmtId="49" fontId="5" fillId="0" borderId="1">
      <alignment horizontal="left" vertical="top"/>
    </xf>
    <xf numFmtId="0" fontId="4" fillId="4" borderId="1">
      <alignment horizontal="left" vertical="top" wrapText="1"/>
    </xf>
    <xf numFmtId="0" fontId="5" fillId="0" borderId="1">
      <alignment horizontal="left" vertical="top" wrapText="1"/>
    </xf>
    <xf numFmtId="0" fontId="4" fillId="5" borderId="1">
      <alignment horizontal="left" vertical="top" wrapText="1"/>
    </xf>
    <xf numFmtId="0" fontId="4" fillId="6" borderId="1">
      <alignment horizontal="left" vertical="top" wrapText="1"/>
    </xf>
    <xf numFmtId="0" fontId="4" fillId="7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6" fillId="0" borderId="0">
      <alignment horizontal="left" vertical="top"/>
    </xf>
    <xf numFmtId="0" fontId="3" fillId="0" borderId="0"/>
    <xf numFmtId="0" fontId="4" fillId="4" borderId="2" applyNumberFormat="0">
      <alignment horizontal="right" vertical="top"/>
    </xf>
    <xf numFmtId="0" fontId="4" fillId="5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6" borderId="2" applyNumberFormat="0">
      <alignment horizontal="right" vertical="top"/>
    </xf>
    <xf numFmtId="0" fontId="4" fillId="0" borderId="1" applyNumberFormat="0">
      <alignment horizontal="right" vertical="top"/>
    </xf>
    <xf numFmtId="49" fontId="7" fillId="9" borderId="1">
      <alignment horizontal="left" vertical="top" wrapText="1"/>
    </xf>
    <xf numFmtId="49" fontId="8" fillId="0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</cellStyleXfs>
  <cellXfs count="69">
    <xf numFmtId="0" fontId="0" fillId="0" borderId="0" xfId="0"/>
    <xf numFmtId="0" fontId="1" fillId="0" borderId="0" xfId="14" applyFont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0" fontId="0" fillId="0" borderId="0" xfId="0"/>
    <xf numFmtId="0" fontId="9" fillId="0" borderId="0" xfId="0" applyFont="1"/>
    <xf numFmtId="0" fontId="15" fillId="13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top" wrapText="1"/>
    </xf>
    <xf numFmtId="0" fontId="9" fillId="13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" fontId="0" fillId="0" borderId="0" xfId="0" applyNumberFormat="1"/>
    <xf numFmtId="4" fontId="11" fillId="0" borderId="0" xfId="0" applyNumberFormat="1" applyFont="1" applyBorder="1" applyAlignment="1">
      <alignment horizontal="center" wrapText="1"/>
    </xf>
    <xf numFmtId="4" fontId="0" fillId="0" borderId="0" xfId="0" applyNumberFormat="1" applyAlignment="1">
      <alignment horizontal="center" vertical="center" wrapText="1"/>
    </xf>
    <xf numFmtId="4" fontId="1" fillId="0" borderId="1" xfId="14" applyNumberFormat="1" applyFont="1" applyBorder="1" applyAlignment="1">
      <alignment horizontal="center" vertical="center" wrapText="1"/>
    </xf>
    <xf numFmtId="4" fontId="2" fillId="12" borderId="1" xfId="14" applyNumberFormat="1" applyFont="1" applyFill="1" applyBorder="1" applyAlignment="1">
      <alignment horizontal="center" vertical="center" wrapText="1"/>
    </xf>
    <xf numFmtId="4" fontId="1" fillId="10" borderId="1" xfId="14" applyNumberFormat="1" applyFont="1" applyFill="1" applyBorder="1" applyAlignment="1">
      <alignment horizontal="right" vertical="center" wrapText="1"/>
    </xf>
    <xf numFmtId="4" fontId="1" fillId="0" borderId="1" xfId="14" applyNumberFormat="1" applyFont="1" applyFill="1" applyBorder="1" applyAlignment="1">
      <alignment horizontal="right" vertical="center" wrapText="1"/>
    </xf>
    <xf numFmtId="4" fontId="2" fillId="11" borderId="1" xfId="14" applyNumberFormat="1" applyFont="1" applyFill="1" applyBorder="1" applyAlignment="1">
      <alignment horizontal="right"/>
    </xf>
    <xf numFmtId="4" fontId="2" fillId="11" borderId="1" xfId="14" applyNumberFormat="1" applyFont="1" applyFill="1" applyBorder="1" applyAlignment="1">
      <alignment horizontal="right" vertical="center" wrapText="1"/>
    </xf>
    <xf numFmtId="4" fontId="0" fillId="0" borderId="0" xfId="0" applyNumberFormat="1" applyAlignment="1">
      <alignment horizontal="left" vertical="center" wrapText="1"/>
    </xf>
    <xf numFmtId="4" fontId="16" fillId="10" borderId="1" xfId="14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12" fillId="0" borderId="0" xfId="0" applyNumberFormat="1" applyFont="1" applyBorder="1" applyAlignment="1">
      <alignment horizontal="right" wrapText="1"/>
    </xf>
    <xf numFmtId="4" fontId="17" fillId="10" borderId="1" xfId="14" applyNumberFormat="1" applyFont="1" applyFill="1" applyBorder="1" applyAlignment="1">
      <alignment horizontal="right" vertical="center" wrapText="1"/>
    </xf>
    <xf numFmtId="4" fontId="1" fillId="13" borderId="1" xfId="14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0" fillId="11" borderId="3" xfId="0" applyFont="1" applyFill="1" applyBorder="1" applyAlignment="1">
      <alignment wrapText="1"/>
    </xf>
    <xf numFmtId="0" fontId="10" fillId="11" borderId="5" xfId="0" applyFont="1" applyFill="1" applyBorder="1" applyAlignment="1">
      <alignment wrapText="1"/>
    </xf>
    <xf numFmtId="0" fontId="0" fillId="0" borderId="4" xfId="0" applyBorder="1" applyAlignment="1">
      <alignment wrapText="1"/>
    </xf>
    <xf numFmtId="0" fontId="9" fillId="0" borderId="0" xfId="0" applyFont="1" applyAlignment="1"/>
    <xf numFmtId="0" fontId="18" fillId="0" borderId="0" xfId="0" applyFont="1" applyAlignment="1">
      <alignment horizontal="right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14" borderId="9" xfId="0" applyFont="1" applyFill="1" applyBorder="1" applyAlignment="1">
      <alignment horizontal="center" vertical="center" wrapText="1"/>
    </xf>
    <xf numFmtId="0" fontId="10" fillId="14" borderId="0" xfId="0" applyFont="1" applyFill="1" applyBorder="1" applyAlignment="1">
      <alignment horizontal="center" vertical="center" wrapText="1"/>
    </xf>
    <xf numFmtId="0" fontId="10" fillId="14" borderId="10" xfId="0" applyFont="1" applyFill="1" applyBorder="1" applyAlignment="1">
      <alignment horizontal="center" vertical="center" wrapText="1"/>
    </xf>
    <xf numFmtId="0" fontId="9" fillId="14" borderId="11" xfId="0" applyFont="1" applyFill="1" applyBorder="1" applyAlignment="1">
      <alignment horizontal="center" vertical="center" wrapText="1"/>
    </xf>
    <xf numFmtId="0" fontId="9" fillId="14" borderId="12" xfId="0" applyFont="1" applyFill="1" applyBorder="1" applyAlignment="1">
      <alignment horizontal="center" vertical="center" wrapText="1"/>
    </xf>
    <xf numFmtId="0" fontId="9" fillId="14" borderId="13" xfId="0" applyFont="1" applyFill="1" applyBorder="1" applyAlignment="1">
      <alignment horizontal="center" vertical="center" wrapText="1"/>
    </xf>
    <xf numFmtId="0" fontId="9" fillId="14" borderId="14" xfId="0" applyFont="1" applyFill="1" applyBorder="1" applyAlignment="1" applyProtection="1">
      <alignment horizontal="center" vertical="center" wrapText="1"/>
    </xf>
    <xf numFmtId="0" fontId="9" fillId="14" borderId="1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14" borderId="11" xfId="0" applyFont="1" applyFill="1" applyBorder="1" applyAlignment="1">
      <alignment horizontal="center" vertical="center" wrapText="1"/>
    </xf>
    <xf numFmtId="0" fontId="10" fillId="14" borderId="12" xfId="0" applyFont="1" applyFill="1" applyBorder="1" applyAlignment="1">
      <alignment horizontal="center" vertical="center" wrapText="1"/>
    </xf>
    <xf numFmtId="0" fontId="10" fillId="14" borderId="13" xfId="0" applyFont="1" applyFill="1" applyBorder="1" applyAlignment="1">
      <alignment horizontal="center" vertical="center" wrapText="1"/>
    </xf>
    <xf numFmtId="0" fontId="9" fillId="14" borderId="15" xfId="0" applyFont="1" applyFill="1" applyBorder="1" applyAlignment="1">
      <alignment horizontal="center" vertical="center" wrapText="1"/>
    </xf>
    <xf numFmtId="0" fontId="9" fillId="14" borderId="15" xfId="0" applyFont="1" applyFill="1" applyBorder="1" applyAlignment="1" applyProtection="1">
      <alignment horizontal="center" vertical="center" wrapText="1"/>
    </xf>
    <xf numFmtId="0" fontId="9" fillId="14" borderId="15" xfId="0" applyFont="1" applyFill="1" applyBorder="1" applyAlignment="1">
      <alignment horizontal="center" vertical="center" wrapText="1"/>
    </xf>
    <xf numFmtId="0" fontId="9" fillId="13" borderId="1" xfId="0" applyFont="1" applyFill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right" vertical="center" shrinkToFit="1"/>
    </xf>
    <xf numFmtId="4" fontId="19" fillId="13" borderId="1" xfId="0" applyNumberFormat="1" applyFont="1" applyFill="1" applyBorder="1" applyAlignment="1">
      <alignment horizontal="right" vertical="center" shrinkToFit="1"/>
    </xf>
    <xf numFmtId="164" fontId="9" fillId="13" borderId="1" xfId="0" applyNumberFormat="1" applyFont="1" applyFill="1" applyBorder="1" applyAlignment="1">
      <alignment horizontal="right" vertical="center" wrapText="1"/>
    </xf>
    <xf numFmtId="3" fontId="9" fillId="13" borderId="1" xfId="0" applyNumberFormat="1" applyFont="1" applyFill="1" applyBorder="1" applyAlignment="1" applyProtection="1">
      <alignment horizontal="right" vertical="center" wrapText="1"/>
    </xf>
    <xf numFmtId="164" fontId="9" fillId="13" borderId="1" xfId="0" applyNumberFormat="1" applyFont="1" applyFill="1" applyBorder="1" applyProtection="1"/>
    <xf numFmtId="164" fontId="10" fillId="15" borderId="3" xfId="0" applyNumberFormat="1" applyFont="1" applyFill="1" applyBorder="1" applyAlignment="1">
      <alignment horizontal="right" vertical="center" wrapText="1"/>
    </xf>
    <xf numFmtId="164" fontId="10" fillId="15" borderId="5" xfId="0" applyNumberFormat="1" applyFont="1" applyFill="1" applyBorder="1" applyAlignment="1">
      <alignment horizontal="right" vertical="center" wrapText="1"/>
    </xf>
    <xf numFmtId="164" fontId="10" fillId="15" borderId="4" xfId="0" applyNumberFormat="1" applyFont="1" applyFill="1" applyBorder="1" applyAlignment="1">
      <alignment horizontal="right" vertical="center" wrapText="1"/>
    </xf>
    <xf numFmtId="164" fontId="10" fillId="15" borderId="16" xfId="0" applyNumberFormat="1" applyFont="1" applyFill="1" applyBorder="1"/>
    <xf numFmtId="3" fontId="10" fillId="15" borderId="16" xfId="0" applyNumberFormat="1" applyFont="1" applyFill="1" applyBorder="1" applyProtection="1"/>
    <xf numFmtId="164" fontId="10" fillId="15" borderId="16" xfId="0" applyNumberFormat="1" applyFont="1" applyFill="1" applyBorder="1" applyProtection="1"/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colors>
    <mruColors>
      <color rgb="FFF8F8F8"/>
      <color rgb="FFEEEEEE"/>
      <color rgb="FFADB1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"/>
  <sheetViews>
    <sheetView topLeftCell="C1" workbookViewId="0">
      <selection activeCell="E25" sqref="E25"/>
    </sheetView>
  </sheetViews>
  <sheetFormatPr defaultRowHeight="15" x14ac:dyDescent="0.25"/>
  <cols>
    <col min="1" max="1" width="19.5703125" customWidth="1"/>
    <col min="2" max="2" width="75.5703125" customWidth="1"/>
    <col min="3" max="3" width="21.85546875" customWidth="1"/>
    <col min="4" max="4" width="17.42578125" customWidth="1"/>
    <col min="5" max="5" width="17.140625" customWidth="1"/>
    <col min="6" max="6" width="17" customWidth="1"/>
    <col min="7" max="7" width="16.85546875" customWidth="1"/>
    <col min="8" max="8" width="18.42578125" customWidth="1"/>
    <col min="9" max="9" width="15.28515625" customWidth="1"/>
    <col min="10" max="10" width="18.5703125" customWidth="1"/>
    <col min="11" max="11" width="18.42578125" customWidth="1"/>
    <col min="12" max="13" width="18.140625" customWidth="1"/>
  </cols>
  <sheetData>
    <row r="1" spans="1:14" ht="15.75" thickBot="1" x14ac:dyDescent="0.3">
      <c r="A1" s="4"/>
      <c r="B1" s="35" t="s">
        <v>70</v>
      </c>
      <c r="C1" s="4"/>
      <c r="D1" s="4"/>
      <c r="E1" s="4"/>
      <c r="F1" s="4"/>
      <c r="G1" s="4"/>
      <c r="H1" s="4"/>
      <c r="I1" s="4"/>
      <c r="J1" s="36" t="s">
        <v>49</v>
      </c>
      <c r="K1" s="4"/>
      <c r="L1" s="4"/>
      <c r="M1" s="4"/>
      <c r="N1" s="4"/>
    </row>
    <row r="2" spans="1:14" ht="26.25" thickBot="1" x14ac:dyDescent="0.3">
      <c r="A2" s="37" t="s">
        <v>50</v>
      </c>
      <c r="B2" s="38" t="s">
        <v>51</v>
      </c>
      <c r="C2" s="39" t="s">
        <v>52</v>
      </c>
      <c r="D2" s="40" t="s">
        <v>53</v>
      </c>
      <c r="E2" s="40"/>
      <c r="F2" s="40"/>
      <c r="G2" s="40"/>
      <c r="H2" s="40"/>
      <c r="I2" s="40"/>
      <c r="J2" s="41" t="s">
        <v>54</v>
      </c>
      <c r="K2" s="41" t="s">
        <v>55</v>
      </c>
      <c r="L2" s="41" t="s">
        <v>56</v>
      </c>
      <c r="M2" s="41" t="s">
        <v>57</v>
      </c>
      <c r="N2" s="4"/>
    </row>
    <row r="3" spans="1:14" x14ac:dyDescent="0.25">
      <c r="A3" s="42" t="s">
        <v>58</v>
      </c>
      <c r="B3" s="43"/>
      <c r="C3" s="44"/>
      <c r="D3" s="45" t="s">
        <v>59</v>
      </c>
      <c r="E3" s="46"/>
      <c r="F3" s="47"/>
      <c r="G3" s="48" t="s">
        <v>60</v>
      </c>
      <c r="H3" s="49" t="s">
        <v>61</v>
      </c>
      <c r="I3" s="49" t="s">
        <v>62</v>
      </c>
      <c r="J3" s="48" t="s">
        <v>63</v>
      </c>
      <c r="K3" s="48" t="s">
        <v>63</v>
      </c>
      <c r="L3" s="48" t="s">
        <v>63</v>
      </c>
      <c r="M3" s="48" t="s">
        <v>63</v>
      </c>
      <c r="N3" s="50"/>
    </row>
    <row r="4" spans="1:14" x14ac:dyDescent="0.25">
      <c r="A4" s="51"/>
      <c r="B4" s="52"/>
      <c r="C4" s="53"/>
      <c r="D4" s="54" t="s">
        <v>64</v>
      </c>
      <c r="E4" s="54" t="s">
        <v>65</v>
      </c>
      <c r="F4" s="54" t="s">
        <v>66</v>
      </c>
      <c r="G4" s="55"/>
      <c r="H4" s="56"/>
      <c r="I4" s="56"/>
      <c r="J4" s="55"/>
      <c r="K4" s="55"/>
      <c r="L4" s="55"/>
      <c r="M4" s="55"/>
      <c r="N4" s="50"/>
    </row>
    <row r="5" spans="1:14" ht="22.5" x14ac:dyDescent="0.25">
      <c r="A5" s="8" t="s">
        <v>26</v>
      </c>
      <c r="B5" s="5" t="s">
        <v>14</v>
      </c>
      <c r="C5" s="57" t="s">
        <v>67</v>
      </c>
      <c r="D5" s="58">
        <v>1018.99</v>
      </c>
      <c r="E5" s="59">
        <v>19212.310000000001</v>
      </c>
      <c r="F5" s="60">
        <v>221420.32</v>
      </c>
      <c r="G5" s="61">
        <f>((F5/E5)+(E5/D5))/2</f>
        <v>15.189593320169564</v>
      </c>
      <c r="H5" s="60">
        <v>2800000</v>
      </c>
      <c r="I5" s="60"/>
      <c r="J5" s="62">
        <f>F5*G5-H5</f>
        <v>563284.61362180766</v>
      </c>
      <c r="K5" s="62">
        <f>J5-400000</f>
        <v>163284.61362180766</v>
      </c>
      <c r="L5" s="62">
        <f t="shared" ref="L5:M5" si="0">K5</f>
        <v>163284.61362180766</v>
      </c>
      <c r="M5" s="62">
        <f t="shared" si="0"/>
        <v>163284.61362180766</v>
      </c>
      <c r="N5" s="4"/>
    </row>
    <row r="6" spans="1:14" ht="33.75" x14ac:dyDescent="0.25">
      <c r="A6" s="9" t="s">
        <v>27</v>
      </c>
      <c r="B6" s="6" t="s">
        <v>15</v>
      </c>
      <c r="C6" s="57" t="s">
        <v>68</v>
      </c>
      <c r="D6" s="58">
        <v>20260774.949999999</v>
      </c>
      <c r="E6" s="59">
        <v>37127650.869999997</v>
      </c>
      <c r="F6" s="60">
        <v>37294028.149999999</v>
      </c>
      <c r="G6" s="61">
        <f t="shared" ref="G6:G12" si="1">((F6/E6)+(E6/D6))/2</f>
        <v>1.4184852013535314</v>
      </c>
      <c r="H6" s="60">
        <v>10000000</v>
      </c>
      <c r="I6" s="60"/>
      <c r="J6" s="62">
        <f>F6*G6-H6</f>
        <v>42901027.029637016</v>
      </c>
      <c r="K6" s="62">
        <f t="shared" ref="K6:M7" si="2">J6</f>
        <v>42901027.029637016</v>
      </c>
      <c r="L6" s="62">
        <f t="shared" si="2"/>
        <v>42901027.029637016</v>
      </c>
      <c r="M6" s="62">
        <f t="shared" si="2"/>
        <v>42901027.029637016</v>
      </c>
      <c r="N6" s="4"/>
    </row>
    <row r="7" spans="1:14" x14ac:dyDescent="0.25">
      <c r="A7" s="9" t="s">
        <v>28</v>
      </c>
      <c r="B7" s="6" t="s">
        <v>16</v>
      </c>
      <c r="C7" s="57" t="s">
        <v>68</v>
      </c>
      <c r="D7" s="58">
        <v>205808.03</v>
      </c>
      <c r="E7" s="59">
        <v>392136.36</v>
      </c>
      <c r="F7" s="60">
        <v>19533.36</v>
      </c>
      <c r="G7" s="61">
        <f t="shared" si="1"/>
        <v>0.97758140913248348</v>
      </c>
      <c r="H7" s="60">
        <v>220000</v>
      </c>
      <c r="I7" s="60"/>
      <c r="J7" s="62">
        <f>F7*G7+H7</f>
        <v>239095.44959389209</v>
      </c>
      <c r="K7" s="62">
        <f>J7-H7</f>
        <v>19095.449593892088</v>
      </c>
      <c r="L7" s="62">
        <f t="shared" si="2"/>
        <v>19095.449593892088</v>
      </c>
      <c r="M7" s="62">
        <f t="shared" si="2"/>
        <v>19095.449593892088</v>
      </c>
      <c r="N7" s="4"/>
    </row>
    <row r="8" spans="1:14" ht="22.5" x14ac:dyDescent="0.25">
      <c r="A8" s="9" t="s">
        <v>29</v>
      </c>
      <c r="B8" s="6" t="s">
        <v>17</v>
      </c>
      <c r="C8" s="57" t="s">
        <v>68</v>
      </c>
      <c r="D8" s="58">
        <v>66897390.890000001</v>
      </c>
      <c r="E8" s="59">
        <v>26603712.039999999</v>
      </c>
      <c r="F8" s="60">
        <v>39471046.710000001</v>
      </c>
      <c r="G8" s="61">
        <f t="shared" si="1"/>
        <v>0.94067312842438111</v>
      </c>
      <c r="H8" s="60">
        <v>10000000</v>
      </c>
      <c r="I8" s="60"/>
      <c r="J8" s="62">
        <f>F8*G8-H8</f>
        <v>27129352.990880579</v>
      </c>
      <c r="K8" s="62">
        <f t="shared" ref="K8:M10" si="3">J8</f>
        <v>27129352.990880579</v>
      </c>
      <c r="L8" s="62">
        <f t="shared" si="3"/>
        <v>27129352.990880579</v>
      </c>
      <c r="M8" s="62">
        <f t="shared" si="3"/>
        <v>27129352.990880579</v>
      </c>
      <c r="N8" s="4"/>
    </row>
    <row r="9" spans="1:14" x14ac:dyDescent="0.25">
      <c r="A9" s="9" t="s">
        <v>30</v>
      </c>
      <c r="B9" s="6" t="s">
        <v>18</v>
      </c>
      <c r="C9" s="57" t="s">
        <v>68</v>
      </c>
      <c r="D9" s="58">
        <v>5507.47</v>
      </c>
      <c r="E9" s="59">
        <v>224974.73</v>
      </c>
      <c r="F9" s="60">
        <v>420647.27</v>
      </c>
      <c r="G9" s="61">
        <f t="shared" si="1"/>
        <v>21.359384694578665</v>
      </c>
      <c r="H9" s="60">
        <v>8730000</v>
      </c>
      <c r="I9" s="60"/>
      <c r="J9" s="62">
        <f>F9*G9-H9</f>
        <v>254766.86065430008</v>
      </c>
      <c r="K9" s="62">
        <f t="shared" si="3"/>
        <v>254766.86065430008</v>
      </c>
      <c r="L9" s="62">
        <f t="shared" si="3"/>
        <v>254766.86065430008</v>
      </c>
      <c r="M9" s="62">
        <f t="shared" si="3"/>
        <v>254766.86065430008</v>
      </c>
      <c r="N9" s="4"/>
    </row>
    <row r="10" spans="1:14" ht="22.5" x14ac:dyDescent="0.25">
      <c r="A10" s="9" t="s">
        <v>31</v>
      </c>
      <c r="B10" s="6" t="s">
        <v>19</v>
      </c>
      <c r="C10" s="57" t="s">
        <v>68</v>
      </c>
      <c r="D10" s="58">
        <v>30275414.710000001</v>
      </c>
      <c r="E10" s="59">
        <v>34191841.68</v>
      </c>
      <c r="F10" s="60">
        <v>47904397.289999999</v>
      </c>
      <c r="G10" s="61">
        <f>((F10/E10)+(E10/D10))/2</f>
        <v>1.2652037824550035</v>
      </c>
      <c r="H10" s="60">
        <v>10000000</v>
      </c>
      <c r="I10" s="60"/>
      <c r="J10" s="62">
        <f>F10*G10-H10</f>
        <v>50608824.64753522</v>
      </c>
      <c r="K10" s="62">
        <f t="shared" si="3"/>
        <v>50608824.64753522</v>
      </c>
      <c r="L10" s="62">
        <f t="shared" si="3"/>
        <v>50608824.64753522</v>
      </c>
      <c r="M10" s="62">
        <f t="shared" si="3"/>
        <v>50608824.64753522</v>
      </c>
      <c r="N10" s="4"/>
    </row>
    <row r="11" spans="1:14" x14ac:dyDescent="0.25">
      <c r="A11" s="9" t="s">
        <v>32</v>
      </c>
      <c r="B11" s="6" t="s">
        <v>20</v>
      </c>
      <c r="C11" s="57" t="s">
        <v>68</v>
      </c>
      <c r="D11" s="58">
        <v>0</v>
      </c>
      <c r="E11" s="59">
        <v>2728582.85</v>
      </c>
      <c r="F11" s="60">
        <v>4589227.8899999997</v>
      </c>
      <c r="G11" s="61">
        <v>0</v>
      </c>
      <c r="H11" s="60"/>
      <c r="I11" s="60">
        <v>3388041</v>
      </c>
      <c r="J11" s="62">
        <f>7663930.5+I11</f>
        <v>11051971.5</v>
      </c>
      <c r="K11" s="62">
        <v>1882246.95</v>
      </c>
      <c r="L11" s="62">
        <v>0</v>
      </c>
      <c r="M11" s="62">
        <v>0</v>
      </c>
      <c r="N11" s="4"/>
    </row>
    <row r="12" spans="1:14" ht="22.5" x14ac:dyDescent="0.25">
      <c r="A12" s="9" t="s">
        <v>33</v>
      </c>
      <c r="B12" s="6" t="s">
        <v>21</v>
      </c>
      <c r="C12" s="57" t="s">
        <v>68</v>
      </c>
      <c r="D12" s="58">
        <v>57553781.039999999</v>
      </c>
      <c r="E12" s="59">
        <v>59691211.130000003</v>
      </c>
      <c r="F12" s="60">
        <v>79664352.650000006</v>
      </c>
      <c r="G12" s="61">
        <f t="shared" si="1"/>
        <v>1.1858728528520559</v>
      </c>
      <c r="H12" s="60">
        <v>35000000</v>
      </c>
      <c r="I12" s="60">
        <v>28182339.359999999</v>
      </c>
      <c r="J12" s="62">
        <f>F12*G12-H12+I12</f>
        <v>87654132.50766775</v>
      </c>
      <c r="K12" s="62">
        <f>J12-20000000</f>
        <v>67654132.50766775</v>
      </c>
      <c r="L12" s="62">
        <f>K12-4000000</f>
        <v>63654132.50766775</v>
      </c>
      <c r="M12" s="62">
        <f t="shared" ref="M12" si="4">L12</f>
        <v>63654132.50766775</v>
      </c>
      <c r="N12" s="4"/>
    </row>
    <row r="13" spans="1:14" x14ac:dyDescent="0.25">
      <c r="A13" s="9" t="s">
        <v>34</v>
      </c>
      <c r="B13" s="6" t="s">
        <v>22</v>
      </c>
      <c r="C13" s="57" t="s">
        <v>68</v>
      </c>
      <c r="D13" s="58">
        <v>0</v>
      </c>
      <c r="E13" s="59">
        <v>0</v>
      </c>
      <c r="F13" s="60">
        <v>0</v>
      </c>
      <c r="G13" s="61">
        <v>0</v>
      </c>
      <c r="H13" s="60"/>
      <c r="I13" s="60"/>
      <c r="J13" s="62">
        <f t="shared" ref="J13:J15" si="5">F13*G13</f>
        <v>0</v>
      </c>
      <c r="K13" s="62">
        <f t="shared" ref="K13:M17" si="6">J13</f>
        <v>0</v>
      </c>
      <c r="L13" s="62">
        <f t="shared" si="6"/>
        <v>0</v>
      </c>
      <c r="M13" s="62">
        <f t="shared" si="6"/>
        <v>0</v>
      </c>
      <c r="N13" s="4"/>
    </row>
    <row r="14" spans="1:14" ht="33.75" x14ac:dyDescent="0.25">
      <c r="A14" s="9" t="s">
        <v>35</v>
      </c>
      <c r="B14" s="6" t="s">
        <v>23</v>
      </c>
      <c r="C14" s="57" t="s">
        <v>68</v>
      </c>
      <c r="D14" s="58">
        <v>0</v>
      </c>
      <c r="E14" s="59">
        <v>0</v>
      </c>
      <c r="F14" s="60">
        <v>0</v>
      </c>
      <c r="G14" s="61">
        <v>0</v>
      </c>
      <c r="H14" s="60"/>
      <c r="I14" s="60"/>
      <c r="J14" s="62">
        <f t="shared" si="5"/>
        <v>0</v>
      </c>
      <c r="K14" s="62">
        <f t="shared" si="6"/>
        <v>0</v>
      </c>
      <c r="L14" s="62">
        <f t="shared" si="6"/>
        <v>0</v>
      </c>
      <c r="M14" s="62">
        <f t="shared" si="6"/>
        <v>0</v>
      </c>
      <c r="N14" s="4"/>
    </row>
    <row r="15" spans="1:14" ht="22.5" x14ac:dyDescent="0.25">
      <c r="A15" s="9" t="s">
        <v>36</v>
      </c>
      <c r="B15" s="6" t="s">
        <v>24</v>
      </c>
      <c r="C15" s="57" t="s">
        <v>68</v>
      </c>
      <c r="D15" s="58">
        <v>0</v>
      </c>
      <c r="E15" s="59">
        <v>9.26</v>
      </c>
      <c r="F15" s="60">
        <v>0</v>
      </c>
      <c r="G15" s="61">
        <v>0</v>
      </c>
      <c r="H15" s="60"/>
      <c r="I15" s="60"/>
      <c r="J15" s="62">
        <f t="shared" si="5"/>
        <v>0</v>
      </c>
      <c r="K15" s="62">
        <f t="shared" si="6"/>
        <v>0</v>
      </c>
      <c r="L15" s="62">
        <f t="shared" si="6"/>
        <v>0</v>
      </c>
      <c r="M15" s="62">
        <f t="shared" si="6"/>
        <v>0</v>
      </c>
      <c r="N15" s="4"/>
    </row>
    <row r="16" spans="1:14" ht="33.75" x14ac:dyDescent="0.25">
      <c r="A16" s="9" t="s">
        <v>37</v>
      </c>
      <c r="B16" s="7" t="s">
        <v>25</v>
      </c>
      <c r="C16" s="57" t="s">
        <v>68</v>
      </c>
      <c r="D16" s="58">
        <v>8762.0499999999993</v>
      </c>
      <c r="E16" s="59">
        <v>26603.39</v>
      </c>
      <c r="F16" s="60">
        <v>-2002.28</v>
      </c>
      <c r="G16" s="61">
        <f>((F16/E16)+(E16/D16))/2</f>
        <v>1.4804710233456755</v>
      </c>
      <c r="H16" s="60">
        <v>-2964.3</v>
      </c>
      <c r="I16" s="60"/>
      <c r="J16" s="62">
        <f>F16*G16-H16</f>
        <v>-1.7520624578992283E-2</v>
      </c>
      <c r="K16" s="62">
        <f t="shared" si="6"/>
        <v>-1.7520624578992283E-2</v>
      </c>
      <c r="L16" s="62">
        <f t="shared" si="6"/>
        <v>-1.7520624578992283E-2</v>
      </c>
      <c r="M16" s="62">
        <f t="shared" si="6"/>
        <v>-1.7520624578992283E-2</v>
      </c>
      <c r="N16" s="4"/>
    </row>
    <row r="17" spans="1:14" x14ac:dyDescent="0.25">
      <c r="A17" s="63" t="s">
        <v>69</v>
      </c>
      <c r="B17" s="64"/>
      <c r="C17" s="65"/>
      <c r="D17" s="66">
        <f>SUM(D5:D16)</f>
        <v>175208458.13</v>
      </c>
      <c r="E17" s="66">
        <f t="shared" ref="E17:F17" si="7">SUM(E5:E16)</f>
        <v>161005934.61999997</v>
      </c>
      <c r="F17" s="66">
        <f t="shared" si="7"/>
        <v>209582651.35999998</v>
      </c>
      <c r="G17" s="67">
        <v>0</v>
      </c>
      <c r="H17" s="66">
        <f>SUM(H5:H16)</f>
        <v>76747035.700000003</v>
      </c>
      <c r="I17" s="66">
        <f>SUM(I5:I16)</f>
        <v>31570380.359999999</v>
      </c>
      <c r="J17" s="68">
        <f>SUM(J5:J16)</f>
        <v>220402455.5820699</v>
      </c>
      <c r="K17" s="68">
        <f>SUM(K5:K16)</f>
        <v>190612731.03206992</v>
      </c>
      <c r="L17" s="68">
        <f t="shared" si="6"/>
        <v>190612731.03206992</v>
      </c>
      <c r="M17" s="68">
        <f t="shared" si="6"/>
        <v>190612731.03206992</v>
      </c>
      <c r="N17" s="4"/>
    </row>
    <row r="18" spans="1:14" x14ac:dyDescent="0.25">
      <c r="A18" s="4"/>
      <c r="B18" s="35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x14ac:dyDescent="0.25">
      <c r="A19" s="4"/>
      <c r="B19" s="35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1:14" x14ac:dyDescent="0.25">
      <c r="A20" s="4"/>
      <c r="B20" s="35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  <row r="21" spans="1:14" x14ac:dyDescent="0.25">
      <c r="A21" s="4"/>
      <c r="B21" s="35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</row>
    <row r="22" spans="1:14" x14ac:dyDescent="0.25">
      <c r="A22" s="4"/>
      <c r="B22" s="35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</row>
    <row r="23" spans="1:14" x14ac:dyDescent="0.25">
      <c r="A23" s="4"/>
      <c r="B23" s="35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</row>
    <row r="24" spans="1:14" x14ac:dyDescent="0.25">
      <c r="A24" s="4"/>
      <c r="B24" s="35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x14ac:dyDescent="0.25">
      <c r="A25" s="4"/>
      <c r="B25" s="35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</row>
    <row r="26" spans="1:14" x14ac:dyDescent="0.25">
      <c r="A26" s="4"/>
      <c r="B26" s="35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</row>
    <row r="27" spans="1:14" x14ac:dyDescent="0.25">
      <c r="A27" s="4"/>
      <c r="B27" s="35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</row>
    <row r="28" spans="1:14" x14ac:dyDescent="0.25">
      <c r="A28" s="4"/>
      <c r="B28" s="35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</row>
    <row r="29" spans="1:14" x14ac:dyDescent="0.25">
      <c r="A29" s="4"/>
      <c r="B29" s="35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</row>
    <row r="30" spans="1:14" x14ac:dyDescent="0.25">
      <c r="A30" s="4"/>
      <c r="B30" s="35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</row>
    <row r="31" spans="1:14" x14ac:dyDescent="0.25">
      <c r="A31" s="4"/>
      <c r="B31" s="35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</row>
  </sheetData>
  <mergeCells count="11">
    <mergeCell ref="J3:J4"/>
    <mergeCell ref="K3:K4"/>
    <mergeCell ref="L3:L4"/>
    <mergeCell ref="M3:M4"/>
    <mergeCell ref="A17:C17"/>
    <mergeCell ref="D2:I2"/>
    <mergeCell ref="A3:C4"/>
    <mergeCell ref="D3:F3"/>
    <mergeCell ref="G3:G4"/>
    <mergeCell ref="H3:H4"/>
    <mergeCell ref="I3:I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workbookViewId="0">
      <selection activeCell="G27" sqref="G27"/>
    </sheetView>
  </sheetViews>
  <sheetFormatPr defaultRowHeight="15" x14ac:dyDescent="0.25"/>
  <cols>
    <col min="1" max="1" width="3.85546875" customWidth="1"/>
    <col min="2" max="2" width="39.5703125" customWidth="1"/>
    <col min="3" max="3" width="18.140625" customWidth="1"/>
    <col min="4" max="4" width="15" customWidth="1"/>
    <col min="5" max="5" width="12.7109375" customWidth="1"/>
    <col min="6" max="7" width="12.7109375" style="3" customWidth="1"/>
    <col min="8" max="8" width="13.7109375" customWidth="1"/>
    <col min="9" max="9" width="13.7109375" style="3" customWidth="1"/>
    <col min="10" max="10" width="15.85546875" customWidth="1"/>
    <col min="11" max="11" width="22.28515625" style="3" customWidth="1"/>
    <col min="12" max="12" width="14" customWidth="1"/>
    <col min="13" max="13" width="13.85546875" customWidth="1"/>
    <col min="14" max="14" width="12.42578125" bestFit="1" customWidth="1"/>
    <col min="17" max="17" width="11.42578125" bestFit="1" customWidth="1"/>
  </cols>
  <sheetData>
    <row r="1" spans="1:17" x14ac:dyDescent="0.25">
      <c r="A1" s="3"/>
      <c r="B1" s="3"/>
      <c r="C1" s="3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7" ht="18.75" x14ac:dyDescent="0.25">
      <c r="A2" s="27" t="s">
        <v>5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7" x14ac:dyDescent="0.25">
      <c r="A3" s="3"/>
      <c r="B3" s="3"/>
      <c r="C3" s="3"/>
      <c r="D3" s="10"/>
      <c r="E3" s="10"/>
      <c r="F3" s="10"/>
      <c r="G3" s="10"/>
      <c r="H3" s="10"/>
      <c r="I3" s="10"/>
      <c r="J3" s="10"/>
      <c r="K3" s="10"/>
      <c r="L3" s="11"/>
      <c r="M3" s="10"/>
    </row>
    <row r="4" spans="1:17" x14ac:dyDescent="0.25">
      <c r="A4" s="3"/>
      <c r="B4" s="28" t="s">
        <v>2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</row>
    <row r="5" spans="1:17" x14ac:dyDescent="0.25">
      <c r="A5" s="3"/>
      <c r="B5" s="28" t="s">
        <v>3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</row>
    <row r="6" spans="1:17" x14ac:dyDescent="0.25">
      <c r="A6" s="3"/>
      <c r="B6" s="21"/>
      <c r="C6" s="22"/>
      <c r="D6" s="12"/>
      <c r="E6" s="12"/>
      <c r="F6" s="12"/>
      <c r="G6" s="12"/>
      <c r="H6" s="12"/>
      <c r="I6" s="12"/>
      <c r="J6" s="12"/>
      <c r="K6" s="12"/>
      <c r="L6" s="12"/>
      <c r="M6" s="23"/>
    </row>
    <row r="7" spans="1:17" x14ac:dyDescent="0.25">
      <c r="A7" s="29" t="s">
        <v>0</v>
      </c>
      <c r="B7" s="29" t="s">
        <v>7</v>
      </c>
      <c r="C7" s="29" t="s">
        <v>6</v>
      </c>
      <c r="D7" s="30"/>
      <c r="E7" s="30"/>
      <c r="F7" s="30"/>
      <c r="G7" s="30"/>
      <c r="H7" s="30"/>
      <c r="I7" s="30"/>
      <c r="J7" s="30" t="s">
        <v>4</v>
      </c>
      <c r="K7" s="30"/>
      <c r="L7" s="30"/>
      <c r="M7" s="30"/>
    </row>
    <row r="8" spans="1:17" ht="63.75" x14ac:dyDescent="0.25">
      <c r="A8" s="29"/>
      <c r="B8" s="29"/>
      <c r="C8" s="29"/>
      <c r="D8" s="13" t="s">
        <v>12</v>
      </c>
      <c r="E8" s="13" t="s">
        <v>39</v>
      </c>
      <c r="F8" s="13" t="s">
        <v>40</v>
      </c>
      <c r="G8" s="13" t="s">
        <v>43</v>
      </c>
      <c r="H8" s="13" t="s">
        <v>10</v>
      </c>
      <c r="I8" s="13" t="s">
        <v>44</v>
      </c>
      <c r="J8" s="14" t="s">
        <v>8</v>
      </c>
      <c r="K8" s="14" t="s">
        <v>44</v>
      </c>
      <c r="L8" s="14" t="s">
        <v>9</v>
      </c>
      <c r="M8" s="14" t="s">
        <v>11</v>
      </c>
    </row>
    <row r="9" spans="1:17" x14ac:dyDescent="0.25">
      <c r="A9" s="29"/>
      <c r="B9" s="29"/>
      <c r="C9" s="29"/>
      <c r="D9" s="13" t="s">
        <v>38</v>
      </c>
      <c r="E9" s="13" t="s">
        <v>38</v>
      </c>
      <c r="F9" s="13"/>
      <c r="G9" s="13"/>
      <c r="H9" s="13" t="s">
        <v>38</v>
      </c>
      <c r="I9" s="13"/>
      <c r="J9" s="13" t="s">
        <v>38</v>
      </c>
      <c r="K9" s="13"/>
      <c r="L9" s="13" t="s">
        <v>38</v>
      </c>
      <c r="M9" s="13" t="s">
        <v>38</v>
      </c>
      <c r="Q9" s="3"/>
    </row>
    <row r="10" spans="1:17" ht="76.5" x14ac:dyDescent="0.25">
      <c r="A10" s="2">
        <v>1</v>
      </c>
      <c r="B10" s="5" t="s">
        <v>14</v>
      </c>
      <c r="C10" s="8" t="s">
        <v>26</v>
      </c>
      <c r="D10" s="15">
        <v>5230258.38</v>
      </c>
      <c r="E10" s="15">
        <v>0</v>
      </c>
      <c r="F10" s="15">
        <v>0</v>
      </c>
      <c r="G10" s="15"/>
      <c r="H10" s="15">
        <v>5245031.8899999997</v>
      </c>
      <c r="I10" s="15" t="s">
        <v>41</v>
      </c>
      <c r="J10" s="25">
        <v>563284.61362180766</v>
      </c>
      <c r="K10" s="16" t="s">
        <v>45</v>
      </c>
      <c r="L10" s="16">
        <v>563284.61362180766</v>
      </c>
      <c r="M10" s="16">
        <v>563284.61362180766</v>
      </c>
      <c r="N10" s="3"/>
      <c r="Q10" s="3"/>
    </row>
    <row r="11" spans="1:17" ht="102" x14ac:dyDescent="0.25">
      <c r="A11" s="2">
        <v>2</v>
      </c>
      <c r="B11" s="6" t="s">
        <v>15</v>
      </c>
      <c r="C11" s="9" t="s">
        <v>27</v>
      </c>
      <c r="D11" s="15">
        <v>45173375.340000004</v>
      </c>
      <c r="E11" s="15">
        <f>8800539.18+299852.75+899608.06</f>
        <v>9999999.9900000002</v>
      </c>
      <c r="F11" s="15">
        <f t="shared" ref="F11:F21" si="0">E11/2</f>
        <v>4999999.9950000001</v>
      </c>
      <c r="G11" s="15"/>
      <c r="H11" s="25">
        <f>45173375.34+F11</f>
        <v>50173375.335000001</v>
      </c>
      <c r="I11" s="15"/>
      <c r="J11" s="25">
        <v>42901027.029637016</v>
      </c>
      <c r="K11" s="16" t="s">
        <v>46</v>
      </c>
      <c r="L11" s="16">
        <v>42901027.029637016</v>
      </c>
      <c r="M11" s="16">
        <v>42901027.029637016</v>
      </c>
      <c r="N11" s="3"/>
    </row>
    <row r="12" spans="1:17" ht="76.5" x14ac:dyDescent="0.25">
      <c r="A12" s="2">
        <v>3</v>
      </c>
      <c r="B12" s="6" t="s">
        <v>16</v>
      </c>
      <c r="C12" s="9" t="s">
        <v>28</v>
      </c>
      <c r="D12" s="15">
        <v>474183.98</v>
      </c>
      <c r="E12" s="15">
        <v>0</v>
      </c>
      <c r="F12" s="15">
        <f t="shared" si="0"/>
        <v>0</v>
      </c>
      <c r="G12" s="15"/>
      <c r="H12" s="25">
        <v>474183.98</v>
      </c>
      <c r="I12" s="15" t="s">
        <v>41</v>
      </c>
      <c r="J12" s="25">
        <v>239095.44959389209</v>
      </c>
      <c r="K12" s="16" t="s">
        <v>47</v>
      </c>
      <c r="L12" s="16">
        <v>239095.44959389209</v>
      </c>
      <c r="M12" s="16">
        <v>239095.44959389209</v>
      </c>
      <c r="N12" s="3"/>
    </row>
    <row r="13" spans="1:17" ht="45" x14ac:dyDescent="0.25">
      <c r="A13" s="2">
        <v>4</v>
      </c>
      <c r="B13" s="6" t="s">
        <v>17</v>
      </c>
      <c r="C13" s="9" t="s">
        <v>29</v>
      </c>
      <c r="D13" s="15">
        <v>23762949.190000001</v>
      </c>
      <c r="E13" s="15">
        <f>5389447.99+1343359.62</f>
        <v>6732807.6100000003</v>
      </c>
      <c r="F13" s="15">
        <f t="shared" si="0"/>
        <v>3366403.8050000002</v>
      </c>
      <c r="G13" s="15"/>
      <c r="H13" s="25">
        <f>D13+F13</f>
        <v>27129352.995000001</v>
      </c>
      <c r="I13" s="15"/>
      <c r="J13" s="25">
        <v>27129352.990880579</v>
      </c>
      <c r="K13" s="16"/>
      <c r="L13" s="16">
        <v>27129352.990880579</v>
      </c>
      <c r="M13" s="16">
        <v>27129352.990880579</v>
      </c>
      <c r="N13" s="3"/>
    </row>
    <row r="14" spans="1:17" ht="76.5" x14ac:dyDescent="0.25">
      <c r="A14" s="2">
        <v>5</v>
      </c>
      <c r="B14" s="6" t="s">
        <v>18</v>
      </c>
      <c r="C14" s="9" t="s">
        <v>30</v>
      </c>
      <c r="D14" s="15">
        <v>1204709.22</v>
      </c>
      <c r="E14" s="15">
        <v>0</v>
      </c>
      <c r="F14" s="15">
        <f t="shared" si="0"/>
        <v>0</v>
      </c>
      <c r="G14" s="15"/>
      <c r="H14" s="25">
        <v>1240257.19</v>
      </c>
      <c r="I14" s="15" t="s">
        <v>41</v>
      </c>
      <c r="J14" s="25">
        <v>254766.86065430008</v>
      </c>
      <c r="K14" s="16" t="s">
        <v>48</v>
      </c>
      <c r="L14" s="16">
        <v>254766.86065430008</v>
      </c>
      <c r="M14" s="16">
        <v>254766.86065430008</v>
      </c>
      <c r="N14" s="3"/>
    </row>
    <row r="15" spans="1:17" ht="45" x14ac:dyDescent="0.25">
      <c r="A15" s="2">
        <v>6</v>
      </c>
      <c r="B15" s="6" t="s">
        <v>19</v>
      </c>
      <c r="C15" s="9" t="s">
        <v>31</v>
      </c>
      <c r="D15" s="15">
        <v>52655192.740000002</v>
      </c>
      <c r="E15" s="15">
        <f>17867171.94+132828.06</f>
        <v>18000000</v>
      </c>
      <c r="F15" s="15">
        <f>E15/2-G15</f>
        <v>8426841.7200000007</v>
      </c>
      <c r="G15" s="15">
        <v>573158.28</v>
      </c>
      <c r="H15" s="25">
        <f>52655192.74+F15+G15</f>
        <v>61655192.740000002</v>
      </c>
      <c r="I15" s="15"/>
      <c r="J15" s="25">
        <v>50608824.64753522</v>
      </c>
      <c r="K15" s="16"/>
      <c r="L15" s="16">
        <v>50608824.64753522</v>
      </c>
      <c r="M15" s="16">
        <v>50608824.64753522</v>
      </c>
      <c r="N15" s="3"/>
    </row>
    <row r="16" spans="1:17" ht="76.5" x14ac:dyDescent="0.25">
      <c r="A16" s="2">
        <v>7</v>
      </c>
      <c r="B16" s="6" t="s">
        <v>20</v>
      </c>
      <c r="C16" s="9" t="s">
        <v>32</v>
      </c>
      <c r="D16" s="15">
        <v>12396126.119999999</v>
      </c>
      <c r="E16" s="15">
        <v>0</v>
      </c>
      <c r="F16" s="15">
        <f t="shared" si="0"/>
        <v>0</v>
      </c>
      <c r="G16" s="15"/>
      <c r="H16" s="15">
        <v>21802238.25</v>
      </c>
      <c r="I16" s="15" t="s">
        <v>42</v>
      </c>
      <c r="J16" s="25">
        <v>4500000</v>
      </c>
      <c r="K16" s="16" t="s">
        <v>71</v>
      </c>
      <c r="L16" s="16">
        <v>0</v>
      </c>
      <c r="M16" s="16">
        <v>0</v>
      </c>
      <c r="N16" s="3"/>
    </row>
    <row r="17" spans="1:14" ht="45" x14ac:dyDescent="0.25">
      <c r="A17" s="2">
        <v>8</v>
      </c>
      <c r="B17" s="6" t="s">
        <v>21</v>
      </c>
      <c r="C17" s="9" t="s">
        <v>33</v>
      </c>
      <c r="D17" s="15">
        <v>42940595.289999999</v>
      </c>
      <c r="E17" s="15">
        <v>3861934.14</v>
      </c>
      <c r="F17" s="15">
        <f t="shared" si="0"/>
        <v>1930967.07</v>
      </c>
      <c r="G17" s="15">
        <v>28069032.93</v>
      </c>
      <c r="H17" s="15">
        <f>D17+F17+G17</f>
        <v>72940595.289999992</v>
      </c>
      <c r="I17" s="24"/>
      <c r="J17" s="25">
        <v>72940595.290000007</v>
      </c>
      <c r="K17" s="15"/>
      <c r="L17" s="15">
        <v>72940595.290000007</v>
      </c>
      <c r="M17" s="15">
        <v>72940595.290000007</v>
      </c>
      <c r="N17" s="3"/>
    </row>
    <row r="18" spans="1:14" ht="22.5" x14ac:dyDescent="0.25">
      <c r="A18" s="2">
        <v>9</v>
      </c>
      <c r="B18" s="6" t="s">
        <v>22</v>
      </c>
      <c r="C18" s="9" t="s">
        <v>34</v>
      </c>
      <c r="D18" s="15">
        <v>0</v>
      </c>
      <c r="E18" s="15">
        <v>0</v>
      </c>
      <c r="F18" s="15">
        <f t="shared" si="0"/>
        <v>0</v>
      </c>
      <c r="G18" s="15"/>
      <c r="H18" s="15">
        <v>0</v>
      </c>
      <c r="I18" s="20"/>
      <c r="J18" s="15">
        <v>0</v>
      </c>
      <c r="K18" s="15"/>
      <c r="L18" s="15">
        <v>0</v>
      </c>
      <c r="M18" s="15">
        <v>0</v>
      </c>
      <c r="N18" s="3"/>
    </row>
    <row r="19" spans="1:14" ht="56.25" x14ac:dyDescent="0.25">
      <c r="A19" s="2">
        <v>10</v>
      </c>
      <c r="B19" s="6" t="s">
        <v>23</v>
      </c>
      <c r="C19" s="9" t="s">
        <v>35</v>
      </c>
      <c r="D19" s="15">
        <v>13311.72</v>
      </c>
      <c r="E19" s="15">
        <v>0</v>
      </c>
      <c r="F19" s="15">
        <f t="shared" si="0"/>
        <v>0</v>
      </c>
      <c r="G19" s="15"/>
      <c r="H19" s="15">
        <v>0</v>
      </c>
      <c r="I19" s="20"/>
      <c r="J19" s="15">
        <v>0</v>
      </c>
      <c r="K19" s="15"/>
      <c r="L19" s="15">
        <v>0</v>
      </c>
      <c r="M19" s="15">
        <v>0</v>
      </c>
      <c r="N19" s="3"/>
    </row>
    <row r="20" spans="1:14" ht="45" x14ac:dyDescent="0.25">
      <c r="A20" s="2">
        <v>11</v>
      </c>
      <c r="B20" s="6" t="s">
        <v>24</v>
      </c>
      <c r="C20" s="9" t="s">
        <v>36</v>
      </c>
      <c r="D20" s="15">
        <v>0</v>
      </c>
      <c r="E20" s="15">
        <v>0</v>
      </c>
      <c r="F20" s="15">
        <f t="shared" si="0"/>
        <v>0</v>
      </c>
      <c r="G20" s="15"/>
      <c r="H20" s="15">
        <v>0</v>
      </c>
      <c r="I20" s="20"/>
      <c r="J20" s="15">
        <v>0</v>
      </c>
      <c r="K20" s="15"/>
      <c r="L20" s="15">
        <v>0</v>
      </c>
      <c r="M20" s="15">
        <v>0</v>
      </c>
      <c r="N20" s="3"/>
    </row>
    <row r="21" spans="1:14" ht="67.5" x14ac:dyDescent="0.25">
      <c r="A21" s="2">
        <v>12</v>
      </c>
      <c r="B21" s="7" t="s">
        <v>25</v>
      </c>
      <c r="C21" s="9" t="s">
        <v>37</v>
      </c>
      <c r="D21" s="15">
        <v>0</v>
      </c>
      <c r="E21" s="15">
        <v>0</v>
      </c>
      <c r="F21" s="15">
        <f t="shared" si="0"/>
        <v>0</v>
      </c>
      <c r="G21" s="15"/>
      <c r="H21" s="15">
        <v>0</v>
      </c>
      <c r="I21" s="20"/>
      <c r="J21" s="15">
        <v>0</v>
      </c>
      <c r="K21" s="15"/>
      <c r="L21" s="15">
        <v>0</v>
      </c>
      <c r="M21" s="15">
        <v>0</v>
      </c>
      <c r="N21" s="3"/>
    </row>
    <row r="22" spans="1:14" x14ac:dyDescent="0.25">
      <c r="A22" s="32" t="s">
        <v>1</v>
      </c>
      <c r="B22" s="33"/>
      <c r="C22" s="34"/>
      <c r="D22" s="18">
        <f>SUM(D10:D21)</f>
        <v>183850701.97999999</v>
      </c>
      <c r="E22" s="17">
        <f t="shared" ref="E22:F22" si="1">SUM(E10:E21)</f>
        <v>38594741.740000002</v>
      </c>
      <c r="F22" s="17">
        <f t="shared" si="1"/>
        <v>18724212.590000004</v>
      </c>
      <c r="G22" s="17"/>
      <c r="H22" s="18">
        <f>SUM(H10:H21)</f>
        <v>240660227.66999999</v>
      </c>
      <c r="I22" s="18"/>
      <c r="J22" s="18">
        <f>SUM(J10:J21)</f>
        <v>199136946.88192281</v>
      </c>
      <c r="K22" s="18"/>
      <c r="L22" s="18">
        <f>SUM(L10:L21)</f>
        <v>194636946.88192281</v>
      </c>
      <c r="M22" s="18">
        <f>SUM(M10:M21)</f>
        <v>194636946.88192281</v>
      </c>
      <c r="N22" s="3"/>
    </row>
    <row r="23" spans="1:14" x14ac:dyDescent="0.25">
      <c r="A23" s="3"/>
      <c r="B23" s="1"/>
      <c r="C23" s="1"/>
      <c r="D23" s="19"/>
      <c r="E23" s="19"/>
      <c r="F23" s="19"/>
      <c r="G23" s="19"/>
      <c r="H23" s="19"/>
      <c r="I23" s="19"/>
      <c r="J23" s="19"/>
      <c r="K23" s="19"/>
      <c r="L23" s="19"/>
      <c r="M23" s="19"/>
    </row>
    <row r="24" spans="1:14" x14ac:dyDescent="0.25">
      <c r="A24" s="26" t="s">
        <v>13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</row>
    <row r="25" spans="1:14" x14ac:dyDescent="0.25">
      <c r="A25" s="26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</row>
    <row r="26" spans="1:14" x14ac:dyDescent="0.25">
      <c r="A26" s="3"/>
      <c r="B26" s="1"/>
      <c r="C26" s="1"/>
      <c r="D26" s="19"/>
      <c r="E26" s="19"/>
      <c r="F26" s="19"/>
      <c r="G26" s="19"/>
      <c r="H26" s="19"/>
      <c r="I26" s="19"/>
      <c r="J26" s="19"/>
      <c r="K26" s="19"/>
      <c r="L26" s="19"/>
      <c r="M26" s="19"/>
    </row>
  </sheetData>
  <mergeCells count="11">
    <mergeCell ref="A2:M2"/>
    <mergeCell ref="B4:M4"/>
    <mergeCell ref="B5:M5"/>
    <mergeCell ref="A7:A9"/>
    <mergeCell ref="B7:B9"/>
    <mergeCell ref="C7:C9"/>
    <mergeCell ref="D7:I7"/>
    <mergeCell ref="J7:M7"/>
    <mergeCell ref="A22:C22"/>
    <mergeCell ref="A24:M24"/>
    <mergeCell ref="A25:M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1-Прогноз по методике</vt:lpstr>
      <vt:lpstr>2-Расчет с учетом факта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lastModifiedBy>Дарья В. Гавриленко</cp:lastModifiedBy>
  <cp:lastPrinted>2023-05-31T10:26:24Z</cp:lastPrinted>
  <dcterms:created xsi:type="dcterms:W3CDTF">2013-05-28T06:20:25Z</dcterms:created>
  <dcterms:modified xsi:type="dcterms:W3CDTF">2025-10-01T06:39:14Z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